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55" windowWidth="15195" windowHeight="8850" firstSheet="3" activeTab="3"/>
  </bookViews>
  <sheets>
    <sheet name="Ernst" sheetId="1" r:id="rId1"/>
    <sheet name="Cassegrain WN 5" sheetId="2" r:id="rId2"/>
    <sheet name="Cassegrain gam-Cas" sheetId="3" r:id="rId3"/>
    <sheet name="Erläuterung" sheetId="4" r:id="rId4"/>
    <sheet name="SIMSPEC Slit" sheetId="5" r:id="rId5"/>
  </sheets>
  <definedNames>
    <definedName name="_xlnm.Print_Area" localSheetId="2">'Cassegrain gam-Cas'!$A$1:$I$43</definedName>
    <definedName name="_xlnm.Print_Area" localSheetId="1">'Cassegrain WN 5'!$A$1:$I$43</definedName>
    <definedName name="_xlnm.Print_Area" localSheetId="0">'Ernst'!$A$1:$I$43</definedName>
    <definedName name="_xlnm.Print_Area" localSheetId="4">'SIMSPEC Slit'!$A$1:$I$44</definedName>
  </definedNames>
  <calcPr fullCalcOnLoad="1"/>
</workbook>
</file>

<file path=xl/comments1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Mindest-FWHM des Kollimators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Wenn spaltlos gearbeitet wird hier unbedingt Null eingeben !!!
</t>
        </r>
      </text>
    </comment>
  </commentList>
</comments>
</file>

<file path=xl/comments2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3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5.xml><?xml version="1.0" encoding="utf-8"?>
<comments xmlns="http://schemas.openxmlformats.org/spreadsheetml/2006/main">
  <authors>
    <author>Klaus Vollmann</author>
  </authors>
  <commentList>
    <comment ref="E15" authorId="0">
      <text>
        <r>
          <rPr>
            <sz val="8"/>
            <rFont val="Tahoma"/>
            <family val="0"/>
          </rPr>
          <t xml:space="preserve">Here we use a simplified airy disk to estimate the collimators FWHM.
This parameter depends on the used optics, of course. It can by significantly larger (2-4 times ?). </t>
        </r>
      </text>
    </comment>
    <comment ref="B41" authorId="0">
      <text>
        <r>
          <rPr>
            <sz val="8"/>
            <rFont val="Tahoma"/>
            <family val="0"/>
          </rPr>
          <t>This factor should be close to 1.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 xml:space="preserve">IMPORTANT! 
Zero if no slit is used !!!
</t>
        </r>
      </text>
    </comment>
  </commentList>
</comments>
</file>

<file path=xl/sharedStrings.xml><?xml version="1.0" encoding="utf-8"?>
<sst xmlns="http://schemas.openxmlformats.org/spreadsheetml/2006/main" count="417" uniqueCount="147">
  <si>
    <t>A/pixel</t>
  </si>
  <si>
    <t>mm</t>
  </si>
  <si>
    <t>°</t>
  </si>
  <si>
    <t>A</t>
  </si>
  <si>
    <t>"</t>
  </si>
  <si>
    <t>microns</t>
  </si>
  <si>
    <t>FWHMd :</t>
  </si>
  <si>
    <t>FWHMt :</t>
  </si>
  <si>
    <t>F/D (F#) :</t>
  </si>
  <si>
    <t>photons/cm2/s/A</t>
  </si>
  <si>
    <t>Fraction intégrée axe trans. (k) :</t>
  </si>
  <si>
    <t>%</t>
  </si>
  <si>
    <t>e-/pixel</t>
  </si>
  <si>
    <t>e-</t>
  </si>
  <si>
    <t>photons/cm2/s/A/arcsec</t>
  </si>
  <si>
    <t>Binning numérique transverse (q) :</t>
  </si>
  <si>
    <t>Magnitude (m) :</t>
  </si>
  <si>
    <t>e-/s/pixel</t>
  </si>
  <si>
    <r>
      <t>Seeing (</t>
    </r>
    <r>
      <rPr>
        <sz val="8"/>
        <rFont val="Symbol"/>
        <family val="1"/>
      </rPr>
      <t>f</t>
    </r>
    <r>
      <rPr>
        <sz val="8"/>
        <rFont val="Arial"/>
        <family val="0"/>
      </rPr>
      <t>) :</t>
    </r>
  </si>
  <si>
    <r>
      <t>Dispersion (</t>
    </r>
    <r>
      <rPr>
        <sz val="8"/>
        <rFont val="Symbol"/>
        <family val="1"/>
      </rPr>
      <t>r</t>
    </r>
    <r>
      <rPr>
        <sz val="8"/>
        <rFont val="Arial"/>
        <family val="0"/>
      </rPr>
      <t>) :</t>
    </r>
  </si>
  <si>
    <r>
      <t>Lambda min. (</t>
    </r>
    <r>
      <rPr>
        <sz val="8"/>
        <rFont val="Symbol"/>
        <family val="1"/>
      </rPr>
      <t>l</t>
    </r>
    <r>
      <rPr>
        <sz val="8"/>
        <rFont val="Arial"/>
        <family val="0"/>
      </rPr>
      <t>1) :</t>
    </r>
  </si>
  <si>
    <r>
      <t>Lambda max. (</t>
    </r>
    <r>
      <rPr>
        <sz val="8"/>
        <rFont val="Symbol"/>
        <family val="1"/>
      </rPr>
      <t>l</t>
    </r>
    <r>
      <rPr>
        <sz val="8"/>
        <rFont val="Arial"/>
        <family val="0"/>
      </rPr>
      <t>2) :</t>
    </r>
  </si>
  <si>
    <t>Transmission des Teleskopes (To) :</t>
  </si>
  <si>
    <r>
      <t>Obstruktion bei Spiegeltelskopen (</t>
    </r>
    <r>
      <rPr>
        <sz val="8"/>
        <rFont val="Symbol"/>
        <family val="1"/>
      </rPr>
      <t>e</t>
    </r>
    <r>
      <rPr>
        <sz val="8"/>
        <rFont val="Arial"/>
        <family val="0"/>
      </rPr>
      <t>) :</t>
    </r>
  </si>
  <si>
    <t>Seeingscheibchen :</t>
  </si>
  <si>
    <t>Transmission der Atmosphäre (Ta) :</t>
  </si>
  <si>
    <t>Himmelshintergrund in Magnituden (ms) :</t>
  </si>
  <si>
    <t>Effektivtemperatur  (Te) :</t>
  </si>
  <si>
    <t>Objekt-Parameter</t>
  </si>
  <si>
    <t>Teleskop-Parameter</t>
  </si>
  <si>
    <t>Bolometrische Korrektur (BC) :</t>
  </si>
  <si>
    <t>Auflösungsvermögen (R) :</t>
  </si>
  <si>
    <r>
      <t>Spektrale Auflösung (</t>
    </r>
    <r>
      <rPr>
        <b/>
        <sz val="8"/>
        <rFont val="Symbol"/>
        <family val="1"/>
      </rPr>
      <t>Dl</t>
    </r>
    <r>
      <rPr>
        <b/>
        <sz val="8"/>
        <rFont val="Arial"/>
        <family val="0"/>
      </rPr>
      <t>) :</t>
    </r>
  </si>
  <si>
    <r>
      <t>Binning in Dispersionsrichtung (f</t>
    </r>
    <r>
      <rPr>
        <sz val="8"/>
        <rFont val="Symbol"/>
        <family val="1"/>
      </rPr>
      <t>l</t>
    </r>
    <r>
      <rPr>
        <sz val="8"/>
        <rFont val="Arial"/>
        <family val="0"/>
      </rPr>
      <t>) :</t>
    </r>
  </si>
  <si>
    <r>
      <t>Beugungswinkel (</t>
    </r>
    <r>
      <rPr>
        <sz val="8"/>
        <rFont val="Symbol"/>
        <family val="1"/>
      </rPr>
      <t>b</t>
    </r>
    <r>
      <rPr>
        <sz val="8"/>
        <rFont val="Arial"/>
        <family val="0"/>
      </rPr>
      <t>) :</t>
    </r>
  </si>
  <si>
    <r>
      <t>Einfallswinkel (</t>
    </r>
    <r>
      <rPr>
        <sz val="8"/>
        <rFont val="Symbol"/>
        <family val="1"/>
      </rPr>
      <t>a</t>
    </r>
    <r>
      <rPr>
        <sz val="8"/>
        <rFont val="Arial"/>
        <family val="0"/>
      </rPr>
      <t>) :</t>
    </r>
  </si>
  <si>
    <t>Minimales F/D des Kollimators (Fc) :</t>
  </si>
  <si>
    <t>Minimaler Durchmesser des Kollimators (d1) :</t>
  </si>
  <si>
    <t>Beobachtungsbedingungen</t>
  </si>
  <si>
    <t>Parameter des Spektrographen</t>
  </si>
  <si>
    <t>Parameter der CCD-Kamera</t>
  </si>
  <si>
    <t>Ergebnisse</t>
  </si>
  <si>
    <t>Thermisches Signal (Nd) :</t>
  </si>
  <si>
    <r>
      <t>Relative Quanten Efficiency (</t>
    </r>
    <r>
      <rPr>
        <sz val="8"/>
        <rFont val="Symbol"/>
        <family val="1"/>
      </rPr>
      <t>h</t>
    </r>
    <r>
      <rPr>
        <sz val="8"/>
        <rFont val="Arial"/>
        <family val="0"/>
      </rPr>
      <t>) :</t>
    </r>
  </si>
  <si>
    <t>Pixelanzahl (Nx) :</t>
  </si>
  <si>
    <t>Pixelabmessung (p) :</t>
  </si>
  <si>
    <t>Kollimatorbrennweite (f1) :</t>
  </si>
  <si>
    <t>Kamerabrennweite (f2) :</t>
  </si>
  <si>
    <t>Ordnung (k) :</t>
  </si>
  <si>
    <r>
      <t>Totaler Winkel (</t>
    </r>
    <r>
      <rPr>
        <sz val="8"/>
        <rFont val="Symbol"/>
        <family val="1"/>
      </rPr>
      <t>g</t>
    </r>
    <r>
      <rPr>
        <sz val="8"/>
        <rFont val="Arial"/>
        <family val="0"/>
      </rPr>
      <t>) :</t>
    </r>
  </si>
  <si>
    <r>
      <t>Wellenlänge (</t>
    </r>
    <r>
      <rPr>
        <sz val="8"/>
        <rFont val="Symbol"/>
        <family val="1"/>
      </rPr>
      <t>l</t>
    </r>
    <r>
      <rPr>
        <sz val="8"/>
        <rFont val="Arial"/>
        <family val="0"/>
      </rPr>
      <t>0) :</t>
    </r>
  </si>
  <si>
    <t>Transmission des Spektrometers (Ts) :</t>
  </si>
  <si>
    <t>Brennweite (f) :</t>
  </si>
  <si>
    <t>Objektiv-Durchmesser (D) :</t>
  </si>
  <si>
    <t>Anamorphose-Faktor (r) :</t>
  </si>
  <si>
    <t>Photonfluß Objekt (E) :</t>
  </si>
  <si>
    <r>
      <t>Rauschen (</t>
    </r>
    <r>
      <rPr>
        <sz val="8"/>
        <rFont val="Symbol"/>
        <family val="1"/>
      </rPr>
      <t>s</t>
    </r>
    <r>
      <rPr>
        <sz val="8"/>
        <rFont val="Arial"/>
        <family val="0"/>
      </rPr>
      <t>) :</t>
    </r>
  </si>
  <si>
    <t>Signal (Nm) :</t>
  </si>
  <si>
    <t>Signal Himmelshintergrund (Ns) :</t>
  </si>
  <si>
    <t>Photonfluß Himmelshintergrund (Ed) :</t>
  </si>
  <si>
    <t>Signal-zu-Rausch-Verhältnis (SNR) :</t>
  </si>
  <si>
    <t xml:space="preserve"> Rauschsignal (RON) :</t>
  </si>
  <si>
    <t>Binning senkrecht (fy) :</t>
  </si>
  <si>
    <t>SIMSPEC V2.2 (11 mars 2003) - Simulation eines Spektrometers mit Reflexionsgitter - von Christian Buil</t>
  </si>
  <si>
    <t>Gitterkonstante in Linien / mm (m) :</t>
  </si>
  <si>
    <r>
      <t xml:space="preserve">m </t>
    </r>
    <r>
      <rPr>
        <sz val="8"/>
        <rFont val="Arial"/>
        <family val="2"/>
      </rPr>
      <t>m</t>
    </r>
  </si>
  <si>
    <r>
      <t xml:space="preserve">Durchmesser der "Kamera" bei </t>
    </r>
    <r>
      <rPr>
        <sz val="8"/>
        <rFont val="Symbol"/>
        <family val="1"/>
      </rPr>
      <t>l</t>
    </r>
    <r>
      <rPr>
        <sz val="8"/>
        <rFont val="Arial"/>
        <family val="0"/>
      </rPr>
      <t>0 (d2) :</t>
    </r>
  </si>
  <si>
    <t>Minimaler Durchmesser der "Kamera" (d'2) :</t>
  </si>
  <si>
    <t>Minimales F/D der "Kamera" (Fo) :</t>
  </si>
  <si>
    <t>Abtast-Faktor :</t>
  </si>
  <si>
    <t>Gesamteffizienz (R) :</t>
  </si>
  <si>
    <t>Minimale Gittergröße (W) :</t>
  </si>
  <si>
    <t>CCD-Binning</t>
  </si>
  <si>
    <r>
      <t xml:space="preserve">g  </t>
    </r>
    <r>
      <rPr>
        <sz val="8"/>
        <rFont val="Arial"/>
        <family val="2"/>
      </rPr>
      <t>Cas</t>
    </r>
  </si>
  <si>
    <t>Kelvin</t>
  </si>
  <si>
    <t>Kamerabrennweite + Barlow (f2) :</t>
  </si>
  <si>
    <t>Abstand Gitter - "Kamera" (T) :</t>
  </si>
  <si>
    <t>Spaltbreite (w) :</t>
  </si>
  <si>
    <r>
      <t xml:space="preserve">Spaltbreite in </t>
    </r>
    <r>
      <rPr>
        <sz val="8"/>
        <rFont val="Symbol"/>
        <family val="1"/>
      </rPr>
      <t>m</t>
    </r>
    <r>
      <rPr>
        <sz val="8"/>
        <rFont val="Arial"/>
        <family val="0"/>
      </rPr>
      <t xml:space="preserve"> m (w) :</t>
    </r>
  </si>
  <si>
    <t>Signal-zu-Rausch Verhältnis (SNR) :</t>
  </si>
  <si>
    <t>Auflösung Kollimator im Fokus (FWHMc) :</t>
  </si>
  <si>
    <t>Auflösung "Kamera" im Fokus (FWHMo) :</t>
  </si>
  <si>
    <t>Gesamtbelichtungszeit in Sekunden (t) :</t>
  </si>
  <si>
    <t>Anzahl der Elementaraufnahmen (n) :</t>
  </si>
  <si>
    <r>
      <t xml:space="preserve">g  </t>
    </r>
    <r>
      <rPr>
        <b/>
        <sz val="8"/>
        <rFont val="Arial"/>
        <family val="2"/>
      </rPr>
      <t>Cas</t>
    </r>
  </si>
  <si>
    <t>?</t>
  </si>
  <si>
    <t>Description of the Excel-Sheet SIMSPEC_Slit.xls</t>
  </si>
  <si>
    <r>
      <t xml:space="preserve">The Excel-Sheet </t>
    </r>
    <r>
      <rPr>
        <b/>
        <sz val="11"/>
        <rFont val="Times New Roman"/>
        <family val="1"/>
      </rPr>
      <t>SIMSPEC_Slit</t>
    </r>
    <r>
      <rPr>
        <sz val="11"/>
        <rFont val="Times New Roman"/>
        <family val="1"/>
      </rPr>
      <t xml:space="preserve"> is an extension of the Excel-Sheet </t>
    </r>
    <r>
      <rPr>
        <b/>
        <sz val="11"/>
        <rFont val="Times New Roman"/>
        <family val="1"/>
      </rPr>
      <t>SIMSPEC</t>
    </r>
    <r>
      <rPr>
        <sz val="11"/>
        <rFont val="Times New Roman"/>
        <family val="1"/>
      </rPr>
      <t xml:space="preserve"> written by </t>
    </r>
  </si>
  <si>
    <r>
      <t xml:space="preserve">Christian Buil (http://www.astrosurf.com/buil/). With </t>
    </r>
    <r>
      <rPr>
        <b/>
        <sz val="11"/>
        <rFont val="Times New Roman"/>
        <family val="1"/>
      </rPr>
      <t>SIMSPEC_Slit</t>
    </r>
    <r>
      <rPr>
        <sz val="11"/>
        <rFont val="Times New Roman"/>
        <family val="1"/>
      </rPr>
      <t xml:space="preserve"> one can calculate slit spectrographs as well.  </t>
    </r>
  </si>
  <si>
    <t xml:space="preserve">Depending on the telescope parameters, the observing conditions, the used CCD as well as the parameters of the  </t>
  </si>
  <si>
    <t>spectrograph to be developed the sheet computes the respective resolution and the expectable signal-to-noise ratio.</t>
  </si>
  <si>
    <t>SIMSPEC V2.2 (11 mars 2003) - Simulation of a sSpectrograph with reflection grating - by Christian Buil</t>
  </si>
  <si>
    <t>SIMSPEC_Slit - Extension for the use of an optical slit - by Klaus Vollmann</t>
  </si>
  <si>
    <t>Telescope parameters</t>
  </si>
  <si>
    <t>Aperture (D) :</t>
  </si>
  <si>
    <t>Focal length (f) :</t>
  </si>
  <si>
    <r>
      <t>Obstruction (</t>
    </r>
    <r>
      <rPr>
        <sz val="8"/>
        <rFont val="Symbol"/>
        <family val="1"/>
      </rPr>
      <t>e</t>
    </r>
    <r>
      <rPr>
        <sz val="8"/>
        <rFont val="Arial"/>
        <family val="0"/>
      </rPr>
      <t>) :</t>
    </r>
  </si>
  <si>
    <t>Transmission of the telescope (To) :</t>
  </si>
  <si>
    <t>Observing conditions</t>
  </si>
  <si>
    <t>Seeing disk :</t>
  </si>
  <si>
    <t>Atmospheric transmission (Ta) :</t>
  </si>
  <si>
    <t>Sky in magnitudes (ms) :</t>
  </si>
  <si>
    <t>Exposure time in seconds(t) :</t>
  </si>
  <si>
    <t>Number of exposures (n) :</t>
  </si>
  <si>
    <t>Object parameters</t>
  </si>
  <si>
    <t>Effective temperature  (Te) :</t>
  </si>
  <si>
    <t>Bolometric correction (BC) :</t>
  </si>
  <si>
    <t>Results</t>
  </si>
  <si>
    <t>Minimum diameter of collimator (d1) :</t>
  </si>
  <si>
    <t>Minimum F/D of collimator (Fc) :</t>
  </si>
  <si>
    <r>
      <t>Incident angle (</t>
    </r>
    <r>
      <rPr>
        <sz val="8"/>
        <rFont val="Symbol"/>
        <family val="1"/>
      </rPr>
      <t>a</t>
    </r>
    <r>
      <rPr>
        <sz val="8"/>
        <rFont val="Arial"/>
        <family val="0"/>
      </rPr>
      <t>) :</t>
    </r>
  </si>
  <si>
    <r>
      <t>Diffraction angle (</t>
    </r>
    <r>
      <rPr>
        <sz val="8"/>
        <rFont val="Symbol"/>
        <family val="1"/>
      </rPr>
      <t>b</t>
    </r>
    <r>
      <rPr>
        <sz val="8"/>
        <rFont val="Arial"/>
        <family val="0"/>
      </rPr>
      <t>) :</t>
    </r>
  </si>
  <si>
    <t>Minimum grating size (W) :</t>
  </si>
  <si>
    <t>Anamorphosis factor (r) :</t>
  </si>
  <si>
    <r>
      <t xml:space="preserve">Diameter of  "camera" at </t>
    </r>
    <r>
      <rPr>
        <sz val="8"/>
        <rFont val="Symbol"/>
        <family val="1"/>
      </rPr>
      <t>l</t>
    </r>
    <r>
      <rPr>
        <sz val="8"/>
        <rFont val="Arial"/>
        <family val="0"/>
      </rPr>
      <t>0 (d2) :</t>
    </r>
  </si>
  <si>
    <t>Minimum diameter of "camera" (d'2) :</t>
  </si>
  <si>
    <t>Minimum F/D of the "camera" (Fo) :</t>
  </si>
  <si>
    <r>
      <t>Spectral resolution (</t>
    </r>
    <r>
      <rPr>
        <b/>
        <sz val="8"/>
        <rFont val="Symbol"/>
        <family val="1"/>
      </rPr>
      <t>Dl</t>
    </r>
    <r>
      <rPr>
        <b/>
        <sz val="8"/>
        <rFont val="Arial"/>
        <family val="0"/>
      </rPr>
      <t>) :</t>
    </r>
  </si>
  <si>
    <t>Parameters of the spectrograph</t>
  </si>
  <si>
    <t>Collimator focal lenght (f1) :</t>
  </si>
  <si>
    <t>Camera focal lenght (f2) :</t>
  </si>
  <si>
    <t>Grating constan in linies / mm (m) :</t>
  </si>
  <si>
    <t>Order (k) :</t>
  </si>
  <si>
    <r>
      <t>Total angle (</t>
    </r>
    <r>
      <rPr>
        <sz val="8"/>
        <rFont val="Symbol"/>
        <family val="1"/>
      </rPr>
      <t>g</t>
    </r>
    <r>
      <rPr>
        <sz val="8"/>
        <rFont val="Arial"/>
        <family val="0"/>
      </rPr>
      <t>) :</t>
    </r>
  </si>
  <si>
    <r>
      <t>Wavelength (</t>
    </r>
    <r>
      <rPr>
        <sz val="8"/>
        <rFont val="Symbol"/>
        <family val="1"/>
      </rPr>
      <t>l</t>
    </r>
    <r>
      <rPr>
        <sz val="8"/>
        <rFont val="Arial"/>
        <family val="0"/>
      </rPr>
      <t>0) :</t>
    </r>
  </si>
  <si>
    <t>Distance grating - "camera" (T) :</t>
  </si>
  <si>
    <t>Spectrograph transmission (Ts) :</t>
  </si>
  <si>
    <t>Slit width (w) :</t>
  </si>
  <si>
    <t>AResolution "camera" at focus (FWHMo) :</t>
  </si>
  <si>
    <t>Resolution collimator at focus (FWHMc) :</t>
  </si>
  <si>
    <r>
      <t>Binning in dispersion direction (f</t>
    </r>
    <r>
      <rPr>
        <sz val="8"/>
        <rFont val="Symbol"/>
        <family val="1"/>
      </rPr>
      <t>l</t>
    </r>
    <r>
      <rPr>
        <sz val="8"/>
        <rFont val="Arial"/>
        <family val="0"/>
      </rPr>
      <t>) :</t>
    </r>
  </si>
  <si>
    <t>Binning perpendicular (fy) :</t>
  </si>
  <si>
    <t>Parameters of the CCD camera</t>
  </si>
  <si>
    <t>Pixel size (p) :</t>
  </si>
  <si>
    <t>Pixel number (Nx) :</t>
  </si>
  <si>
    <t xml:space="preserve"> Noise signal (RON) :</t>
  </si>
  <si>
    <t>Thermal signal (Nd) :</t>
  </si>
  <si>
    <t>Photon flux objects (E) :</t>
  </si>
  <si>
    <t>Photonflux sky (Ed) :</t>
  </si>
  <si>
    <t>Overall efficiency (R) :</t>
  </si>
  <si>
    <t>Signal background (Ns) :</t>
  </si>
  <si>
    <r>
      <t>Noise (</t>
    </r>
    <r>
      <rPr>
        <sz val="8"/>
        <rFont val="Symbol"/>
        <family val="1"/>
      </rPr>
      <t>s</t>
    </r>
    <r>
      <rPr>
        <sz val="8"/>
        <rFont val="Arial"/>
        <family val="0"/>
      </rPr>
      <t>) :</t>
    </r>
  </si>
  <si>
    <t>Signal-to-Noise ratio (SNR) :</t>
  </si>
  <si>
    <t>The modification of SIMSPEC has been done by Klaus Vollmann (klaus.vollmann@stsci.de). The sheet is on the second page.</t>
  </si>
  <si>
    <t>Resolving power (R) :</t>
  </si>
  <si>
    <t>Sampling factor :</t>
  </si>
  <si>
    <t>Please note: This sheet is public domain as long as the contents will not be manipulated and corrupted.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</si>
</sst>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#.##000\ \€;\-#.##000\ \€"/>
    <numFmt numFmtId="196" formatCode="#,##0.0"/>
  </numFmts>
  <fonts count="47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name val="Symbol"/>
      <family val="1"/>
    </font>
    <font>
      <b/>
      <sz val="8"/>
      <name val="Arial"/>
      <family val="0"/>
    </font>
    <font>
      <b/>
      <sz val="8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85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8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9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8" borderId="0" xfId="0" applyFont="1" applyFill="1" applyAlignment="1">
      <alignment/>
    </xf>
    <xf numFmtId="195" fontId="3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9" fontId="2" fillId="34" borderId="0" xfId="49" applyFont="1" applyFill="1" applyAlignment="1">
      <alignment/>
    </xf>
    <xf numFmtId="9" fontId="2" fillId="33" borderId="0" xfId="49" applyFont="1" applyFill="1" applyAlignment="1">
      <alignment/>
    </xf>
    <xf numFmtId="9" fontId="2" fillId="37" borderId="0" xfId="49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2" fillId="0" borderId="0" xfId="49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9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92" fontId="1" fillId="0" borderId="0" xfId="0" applyNumberFormat="1" applyFont="1" applyFill="1" applyBorder="1" applyAlignment="1">
      <alignment/>
    </xf>
    <xf numFmtId="18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9" fontId="2" fillId="0" borderId="0" xfId="49" applyFont="1" applyBorder="1" applyAlignment="1">
      <alignment/>
    </xf>
    <xf numFmtId="0" fontId="4" fillId="0" borderId="0" xfId="0" applyFont="1" applyBorder="1" applyAlignment="1">
      <alignment horizontal="left"/>
    </xf>
    <xf numFmtId="19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93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33" borderId="0" xfId="49" applyFont="1" applyFill="1" applyBorder="1" applyAlignment="1">
      <alignment/>
    </xf>
    <xf numFmtId="0" fontId="2" fillId="34" borderId="0" xfId="0" applyFont="1" applyFill="1" applyBorder="1" applyAlignment="1">
      <alignment/>
    </xf>
    <xf numFmtId="9" fontId="2" fillId="37" borderId="0" xfId="49" applyFont="1" applyFill="1" applyBorder="1" applyAlignment="1">
      <alignment/>
    </xf>
    <xf numFmtId="9" fontId="2" fillId="34" borderId="0" xfId="49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39" borderId="0" xfId="0" applyFont="1" applyFill="1" applyBorder="1" applyAlignment="1">
      <alignment horizontal="right"/>
    </xf>
    <xf numFmtId="1" fontId="2" fillId="37" borderId="0" xfId="0" applyNumberFormat="1" applyFont="1" applyFill="1" applyBorder="1" applyAlignment="1">
      <alignment/>
    </xf>
    <xf numFmtId="193" fontId="10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14" fontId="11" fillId="36" borderId="0" xfId="0" applyNumberFormat="1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">
      <selection activeCell="D29" sqref="D29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9" ht="10.5" customHeight="1">
      <c r="A2" s="67"/>
      <c r="B2" s="68"/>
      <c r="C2" s="68"/>
      <c r="D2" s="68"/>
      <c r="E2" s="68"/>
      <c r="F2" s="68"/>
      <c r="G2" s="68"/>
      <c r="H2" s="68"/>
      <c r="I2" s="69"/>
    </row>
    <row r="3" spans="1:9" ht="10.5" customHeight="1">
      <c r="A3" s="70" t="s">
        <v>29</v>
      </c>
      <c r="B3" s="35"/>
      <c r="C3" s="35"/>
      <c r="D3" s="52" t="s">
        <v>39</v>
      </c>
      <c r="E3" s="35"/>
      <c r="F3" s="35"/>
      <c r="G3" s="53" t="s">
        <v>40</v>
      </c>
      <c r="H3" s="35"/>
      <c r="I3" s="71"/>
    </row>
    <row r="4" spans="1:9" ht="10.5" customHeight="1">
      <c r="A4" s="72" t="s">
        <v>53</v>
      </c>
      <c r="B4" s="54">
        <v>200</v>
      </c>
      <c r="C4" s="35" t="s">
        <v>1</v>
      </c>
      <c r="D4" s="40" t="s">
        <v>46</v>
      </c>
      <c r="E4" s="55">
        <v>135</v>
      </c>
      <c r="F4" s="35" t="s">
        <v>1</v>
      </c>
      <c r="G4" s="40" t="s">
        <v>45</v>
      </c>
      <c r="H4" s="56">
        <v>9</v>
      </c>
      <c r="I4" s="71" t="s">
        <v>5</v>
      </c>
    </row>
    <row r="5" spans="1:9" ht="10.5" customHeight="1">
      <c r="A5" s="72" t="s">
        <v>52</v>
      </c>
      <c r="B5" s="54">
        <v>760</v>
      </c>
      <c r="C5" s="35" t="s">
        <v>1</v>
      </c>
      <c r="D5" s="40" t="s">
        <v>75</v>
      </c>
      <c r="E5" s="80">
        <f>135*1.425</f>
        <v>192.375</v>
      </c>
      <c r="F5" s="35" t="s">
        <v>1</v>
      </c>
      <c r="G5" s="40" t="s">
        <v>44</v>
      </c>
      <c r="H5" s="56">
        <v>768</v>
      </c>
      <c r="I5" s="71"/>
    </row>
    <row r="6" spans="1:9" ht="10.5" customHeight="1">
      <c r="A6" s="72" t="s">
        <v>8</v>
      </c>
      <c r="B6" s="57">
        <f>B5/B4</f>
        <v>3.8</v>
      </c>
      <c r="C6" s="35"/>
      <c r="D6" s="40" t="s">
        <v>64</v>
      </c>
      <c r="E6" s="55">
        <v>1200</v>
      </c>
      <c r="F6" s="35"/>
      <c r="G6" s="40" t="s">
        <v>43</v>
      </c>
      <c r="H6" s="56">
        <v>70</v>
      </c>
      <c r="I6" s="71" t="s">
        <v>11</v>
      </c>
    </row>
    <row r="7" spans="1:9" ht="10.5" customHeight="1">
      <c r="A7" s="72" t="s">
        <v>23</v>
      </c>
      <c r="B7" s="58">
        <v>0.3</v>
      </c>
      <c r="C7" s="35"/>
      <c r="D7" s="40" t="s">
        <v>48</v>
      </c>
      <c r="E7" s="55">
        <v>1</v>
      </c>
      <c r="F7" s="35"/>
      <c r="G7" s="40" t="s">
        <v>61</v>
      </c>
      <c r="H7" s="56">
        <v>30</v>
      </c>
      <c r="I7" s="71" t="s">
        <v>12</v>
      </c>
    </row>
    <row r="8" spans="1:9" ht="10.5" customHeight="1">
      <c r="A8" s="72" t="s">
        <v>22</v>
      </c>
      <c r="B8" s="58">
        <v>0.75</v>
      </c>
      <c r="C8" s="35"/>
      <c r="D8" s="40" t="s">
        <v>49</v>
      </c>
      <c r="E8" s="55">
        <v>38</v>
      </c>
      <c r="F8" s="35" t="s">
        <v>2</v>
      </c>
      <c r="G8" s="40" t="s">
        <v>42</v>
      </c>
      <c r="H8" s="56">
        <v>0.1</v>
      </c>
      <c r="I8" s="71" t="s">
        <v>17</v>
      </c>
    </row>
    <row r="9" spans="1:9" ht="10.5" customHeight="1">
      <c r="A9" s="72"/>
      <c r="B9" s="35"/>
      <c r="C9" s="35"/>
      <c r="D9" s="40" t="s">
        <v>50</v>
      </c>
      <c r="E9" s="55">
        <v>6670</v>
      </c>
      <c r="F9" s="35" t="s">
        <v>3</v>
      </c>
      <c r="G9" s="40"/>
      <c r="H9" s="35"/>
      <c r="I9" s="71"/>
    </row>
    <row r="10" spans="1:9" ht="10.5" customHeight="1">
      <c r="A10" s="73" t="s">
        <v>38</v>
      </c>
      <c r="B10" s="35"/>
      <c r="C10" s="35"/>
      <c r="D10" s="40" t="s">
        <v>76</v>
      </c>
      <c r="E10" s="55">
        <v>20</v>
      </c>
      <c r="F10" s="35" t="s">
        <v>1</v>
      </c>
      <c r="G10" s="40"/>
      <c r="H10" s="35"/>
      <c r="I10" s="71"/>
    </row>
    <row r="11" spans="1:9" ht="10.5" customHeight="1">
      <c r="A11" s="72" t="s">
        <v>18</v>
      </c>
      <c r="B11" s="59">
        <v>1</v>
      </c>
      <c r="C11" s="35" t="s">
        <v>4</v>
      </c>
      <c r="D11" s="40" t="s">
        <v>51</v>
      </c>
      <c r="E11" s="60">
        <v>0.7</v>
      </c>
      <c r="F11" s="35"/>
      <c r="G11" s="35"/>
      <c r="H11" s="35"/>
      <c r="I11" s="71"/>
    </row>
    <row r="12" spans="1:9" ht="10.5" customHeight="1">
      <c r="A12" s="72" t="s">
        <v>24</v>
      </c>
      <c r="B12" s="37">
        <f>B11/3600/180*PI()*B5*1000</f>
        <v>3.6845839764324735</v>
      </c>
      <c r="C12" s="45" t="s">
        <v>65</v>
      </c>
      <c r="D12" s="40" t="s">
        <v>78</v>
      </c>
      <c r="E12" s="55">
        <v>0</v>
      </c>
      <c r="F12" s="45" t="s">
        <v>65</v>
      </c>
      <c r="G12" s="35"/>
      <c r="H12" s="35"/>
      <c r="I12" s="71"/>
    </row>
    <row r="13" spans="1:9" ht="10.5" customHeight="1">
      <c r="A13" s="72" t="s">
        <v>25</v>
      </c>
      <c r="B13" s="61">
        <v>0.75</v>
      </c>
      <c r="C13" s="35"/>
      <c r="D13" s="40"/>
      <c r="E13" s="35"/>
      <c r="F13" s="35"/>
      <c r="G13" s="40"/>
      <c r="H13" s="35"/>
      <c r="I13" s="71"/>
    </row>
    <row r="14" spans="1:9" ht="10.5" customHeight="1">
      <c r="A14" s="72" t="s">
        <v>26</v>
      </c>
      <c r="B14" s="59">
        <v>18</v>
      </c>
      <c r="C14" s="35"/>
      <c r="D14" s="40" t="s">
        <v>80</v>
      </c>
      <c r="E14" s="37">
        <f>2.44*$E$9/10000*B26</f>
        <v>6.184424</v>
      </c>
      <c r="F14" s="45" t="s">
        <v>65</v>
      </c>
      <c r="G14" s="35"/>
      <c r="H14" s="35"/>
      <c r="I14" s="71"/>
    </row>
    <row r="15" spans="1:9" ht="10.5" customHeight="1">
      <c r="A15" s="72" t="s">
        <v>82</v>
      </c>
      <c r="B15" s="59">
        <v>20</v>
      </c>
      <c r="C15" s="35"/>
      <c r="D15" s="40" t="s">
        <v>81</v>
      </c>
      <c r="E15" s="37">
        <f>2.44*$E$9/10000*B33</f>
        <v>6.278633411738518</v>
      </c>
      <c r="F15" s="45" t="s">
        <v>65</v>
      </c>
      <c r="G15" s="35"/>
      <c r="H15" s="35"/>
      <c r="I15" s="71"/>
    </row>
    <row r="16" spans="1:9" ht="10.5" customHeight="1">
      <c r="A16" s="72" t="s">
        <v>83</v>
      </c>
      <c r="B16" s="59">
        <v>10</v>
      </c>
      <c r="C16" s="35"/>
      <c r="D16" s="40"/>
      <c r="E16" s="57"/>
      <c r="F16" s="35"/>
      <c r="G16" s="35"/>
      <c r="H16" s="35"/>
      <c r="I16" s="71"/>
    </row>
    <row r="17" spans="1:9" ht="10.5" customHeight="1">
      <c r="A17" s="74"/>
      <c r="B17" s="35"/>
      <c r="C17" s="35"/>
      <c r="D17" s="62" t="s">
        <v>72</v>
      </c>
      <c r="E17" s="57"/>
      <c r="F17" s="35"/>
      <c r="G17" s="35"/>
      <c r="H17" s="35"/>
      <c r="I17" s="71"/>
    </row>
    <row r="18" spans="1:9" ht="10.5" customHeight="1">
      <c r="A18" s="70" t="s">
        <v>28</v>
      </c>
      <c r="B18" s="35"/>
      <c r="C18" s="63"/>
      <c r="D18" s="79" t="s">
        <v>10</v>
      </c>
      <c r="E18" s="64">
        <v>1</v>
      </c>
      <c r="F18" s="35"/>
      <c r="G18" s="35"/>
      <c r="H18" s="35"/>
      <c r="I18" s="71"/>
    </row>
    <row r="19" spans="1:9" ht="10.5" customHeight="1">
      <c r="A19" s="72" t="s">
        <v>16</v>
      </c>
      <c r="B19" s="65">
        <v>2.4</v>
      </c>
      <c r="C19" s="45" t="s">
        <v>73</v>
      </c>
      <c r="D19" s="40" t="s">
        <v>33</v>
      </c>
      <c r="E19" s="64">
        <v>1</v>
      </c>
      <c r="F19" s="35"/>
      <c r="G19" s="35"/>
      <c r="H19" s="35"/>
      <c r="I19" s="71"/>
    </row>
    <row r="20" spans="1:9" ht="10.5" customHeight="1">
      <c r="A20" s="72" t="s">
        <v>27</v>
      </c>
      <c r="B20" s="65">
        <v>12000</v>
      </c>
      <c r="C20" s="35" t="s">
        <v>74</v>
      </c>
      <c r="D20" s="40" t="s">
        <v>62</v>
      </c>
      <c r="E20" s="64">
        <v>1</v>
      </c>
      <c r="F20" s="35"/>
      <c r="G20" s="35"/>
      <c r="H20" s="35"/>
      <c r="I20" s="71"/>
    </row>
    <row r="21" spans="1:9" ht="10.5" customHeight="1">
      <c r="A21" s="72" t="s">
        <v>30</v>
      </c>
      <c r="B21" s="65">
        <v>-0.4</v>
      </c>
      <c r="C21" s="35" t="s">
        <v>85</v>
      </c>
      <c r="D21" s="79" t="s">
        <v>15</v>
      </c>
      <c r="E21" s="64">
        <v>1</v>
      </c>
      <c r="F21" s="35"/>
      <c r="G21" s="35"/>
      <c r="H21" s="35"/>
      <c r="I21" s="71"/>
    </row>
    <row r="22" spans="1:9" ht="10.5" customHeight="1">
      <c r="A22" s="74"/>
      <c r="B22" s="35"/>
      <c r="C22" s="35"/>
      <c r="D22" s="40"/>
      <c r="E22" s="57"/>
      <c r="F22" s="35"/>
      <c r="G22" s="35"/>
      <c r="H22" s="35"/>
      <c r="I22" s="71"/>
    </row>
    <row r="23" spans="1:9" ht="10.5" customHeight="1">
      <c r="A23" s="67"/>
      <c r="B23" s="68"/>
      <c r="C23" s="68"/>
      <c r="D23" s="68"/>
      <c r="E23" s="68"/>
      <c r="F23" s="68"/>
      <c r="G23" s="68"/>
      <c r="H23" s="68"/>
      <c r="I23" s="69"/>
    </row>
    <row r="24" spans="1:9" ht="10.5" customHeight="1">
      <c r="A24" s="73" t="s">
        <v>41</v>
      </c>
      <c r="B24" s="35"/>
      <c r="C24" s="35"/>
      <c r="D24" s="36"/>
      <c r="E24" s="35"/>
      <c r="F24" s="35"/>
      <c r="G24" s="35"/>
      <c r="H24" s="35"/>
      <c r="I24" s="71"/>
    </row>
    <row r="25" spans="1:9" ht="10.5" customHeight="1">
      <c r="A25" s="72" t="s">
        <v>37</v>
      </c>
      <c r="B25" s="37">
        <f>B4*E4/B5</f>
        <v>35.526315789473685</v>
      </c>
      <c r="C25" s="35" t="s">
        <v>1</v>
      </c>
      <c r="D25" s="35"/>
      <c r="E25" s="35"/>
      <c r="F25" s="35"/>
      <c r="G25" s="35"/>
      <c r="H25" s="35"/>
      <c r="I25" s="71"/>
    </row>
    <row r="26" spans="1:9" ht="10.5" customHeight="1">
      <c r="A26" s="72" t="s">
        <v>36</v>
      </c>
      <c r="B26" s="35">
        <f>E4/B25</f>
        <v>3.8</v>
      </c>
      <c r="C26" s="35" t="s">
        <v>2</v>
      </c>
      <c r="D26" s="35"/>
      <c r="E26" s="35"/>
      <c r="F26" s="35"/>
      <c r="G26" s="35"/>
      <c r="H26" s="35"/>
      <c r="I26" s="71"/>
    </row>
    <row r="27" spans="1:9" ht="10.5" customHeight="1">
      <c r="A27" s="72" t="s">
        <v>35</v>
      </c>
      <c r="B27" s="38">
        <f>DEGREES(ASIN(0.0000001*E7*E6*E9/2/COS(RADIANS(E8/2))))+E8/2</f>
        <v>44.040563826615795</v>
      </c>
      <c r="C27" s="35" t="s">
        <v>2</v>
      </c>
      <c r="D27" s="35"/>
      <c r="E27" s="35"/>
      <c r="F27" s="35"/>
      <c r="G27" s="35"/>
      <c r="H27" s="35"/>
      <c r="I27" s="71"/>
    </row>
    <row r="28" spans="1:9" ht="10.5" customHeight="1">
      <c r="A28" s="72" t="s">
        <v>34</v>
      </c>
      <c r="B28" s="37">
        <f>B27-E8</f>
        <v>6.040563826615795</v>
      </c>
      <c r="C28" s="35" t="s">
        <v>2</v>
      </c>
      <c r="D28" s="35"/>
      <c r="E28" s="35"/>
      <c r="F28" s="35"/>
      <c r="G28" s="35"/>
      <c r="H28" s="35"/>
      <c r="I28" s="71"/>
    </row>
    <row r="29" spans="1:9" ht="10.5" customHeight="1">
      <c r="A29" s="72" t="s">
        <v>71</v>
      </c>
      <c r="B29" s="37">
        <f>B25/COS(RADIANS(B27))</f>
        <v>49.4211914425308</v>
      </c>
      <c r="C29" s="35" t="s">
        <v>1</v>
      </c>
      <c r="D29" s="35"/>
      <c r="E29" s="35"/>
      <c r="F29" s="35"/>
      <c r="G29" s="35"/>
      <c r="H29" s="35"/>
      <c r="I29" s="71"/>
    </row>
    <row r="30" spans="1:9" ht="10.5" customHeight="1">
      <c r="A30" s="72" t="s">
        <v>54</v>
      </c>
      <c r="B30" s="38">
        <f>COS(RADIANS(B27))/COS(RADIANS(B28))</f>
        <v>0.722861405875271</v>
      </c>
      <c r="C30" s="35"/>
      <c r="D30" s="35"/>
      <c r="E30" s="35"/>
      <c r="F30" s="35"/>
      <c r="G30" s="35"/>
      <c r="H30" s="35"/>
      <c r="I30" s="71"/>
    </row>
    <row r="31" spans="1:9" ht="10.5" customHeight="1">
      <c r="A31" s="72" t="s">
        <v>66</v>
      </c>
      <c r="B31" s="37">
        <f>E4/B30/B6</f>
        <v>49.14678733810242</v>
      </c>
      <c r="C31" s="35" t="s">
        <v>1</v>
      </c>
      <c r="D31" s="35"/>
      <c r="E31" s="35"/>
      <c r="F31" s="35"/>
      <c r="G31" s="35"/>
      <c r="H31" s="35"/>
      <c r="I31" s="71"/>
    </row>
    <row r="32" spans="1:9" ht="10.5" customHeight="1">
      <c r="A32" s="72" t="s">
        <v>67</v>
      </c>
      <c r="B32" s="37">
        <f>E4/B30/B6+E10*H4*H5/E5/1000</f>
        <v>49.86538382933049</v>
      </c>
      <c r="C32" s="35" t="s">
        <v>1</v>
      </c>
      <c r="D32" s="35"/>
      <c r="E32" s="35"/>
      <c r="F32" s="35"/>
      <c r="G32" s="35"/>
      <c r="H32" s="35"/>
      <c r="I32" s="71"/>
    </row>
    <row r="33" spans="1:9" ht="10.5" customHeight="1">
      <c r="A33" s="72" t="s">
        <v>68</v>
      </c>
      <c r="B33" s="39">
        <f>E5/B32</f>
        <v>3.857886678631085</v>
      </c>
      <c r="C33" s="35"/>
      <c r="D33" s="35"/>
      <c r="E33" s="35"/>
      <c r="F33" s="35"/>
      <c r="G33" s="35"/>
      <c r="H33" s="35"/>
      <c r="I33" s="71"/>
    </row>
    <row r="34" spans="1:9" ht="10.5" customHeight="1">
      <c r="A34" s="72"/>
      <c r="B34" s="38"/>
      <c r="C34" s="35"/>
      <c r="D34" s="40" t="s">
        <v>55</v>
      </c>
      <c r="E34" s="37">
        <f>8.48E+34*POWER(10,-0.4*(B19+B21))/POWER(B20,4)/POWER(E9,4)/(EXP(144000000/B20/E9)-1)</f>
        <v>64.91940789764038</v>
      </c>
      <c r="F34" s="35" t="s">
        <v>9</v>
      </c>
      <c r="G34" s="35"/>
      <c r="H34" s="35"/>
      <c r="I34" s="71"/>
    </row>
    <row r="35" spans="1:9" ht="10.5" customHeight="1">
      <c r="A35" s="72" t="s">
        <v>19</v>
      </c>
      <c r="B35" s="41">
        <f>ABS(10000*H4*E19*COS(RADIANS(B28))/E7/E6/E5)</f>
        <v>0.38769888611113906</v>
      </c>
      <c r="C35" s="35" t="s">
        <v>0</v>
      </c>
      <c r="D35" s="40" t="s">
        <v>59</v>
      </c>
      <c r="E35" s="42">
        <f>100*POWER(10,-0.4*B14)</f>
        <v>6.309573444801918E-06</v>
      </c>
      <c r="F35" s="35" t="s">
        <v>14</v>
      </c>
      <c r="G35" s="35"/>
      <c r="H35" s="35"/>
      <c r="I35" s="71"/>
    </row>
    <row r="36" spans="1:9" ht="10.5" customHeight="1">
      <c r="A36" s="72" t="s">
        <v>20</v>
      </c>
      <c r="B36" s="43">
        <f>E9-H5*B35/E19/2</f>
        <v>6521.123627733323</v>
      </c>
      <c r="C36" s="35" t="s">
        <v>3</v>
      </c>
      <c r="D36" s="40" t="s">
        <v>70</v>
      </c>
      <c r="E36" s="44">
        <f>(1-B7*B7)*B13*B8*E11*H6/100</f>
        <v>0.25081875</v>
      </c>
      <c r="F36" s="35"/>
      <c r="G36" s="35"/>
      <c r="H36" s="35"/>
      <c r="I36" s="71"/>
    </row>
    <row r="37" spans="1:9" ht="10.5" customHeight="1">
      <c r="A37" s="72" t="s">
        <v>21</v>
      </c>
      <c r="B37" s="43">
        <f>E9+H5*B35/E19/2</f>
        <v>6818.876372266677</v>
      </c>
      <c r="C37" s="35" t="s">
        <v>3</v>
      </c>
      <c r="D37" s="40" t="s">
        <v>57</v>
      </c>
      <c r="E37" s="37">
        <f>0.25*PI()*E34*E36*B4*B4*B35*E18*B15/100</f>
        <v>39665.13811921298</v>
      </c>
      <c r="F37" s="35" t="s">
        <v>12</v>
      </c>
      <c r="G37" s="35"/>
      <c r="H37" s="35"/>
      <c r="I37" s="71"/>
    </row>
    <row r="38" spans="1:9" ht="10.5" customHeight="1">
      <c r="A38" s="72" t="s">
        <v>6</v>
      </c>
      <c r="B38" s="38">
        <f>0.0001*E5*E9/(E4/B30/B6)</f>
        <v>2.610834440047334</v>
      </c>
      <c r="C38" s="45" t="s">
        <v>65</v>
      </c>
      <c r="D38" s="40" t="s">
        <v>58</v>
      </c>
      <c r="E38" s="37">
        <f>106300000*PI()*E35*E36*B35*E20*H4/1000*E12*B15*E4/E5/B6/B6</f>
        <v>0</v>
      </c>
      <c r="F38" s="35" t="s">
        <v>12</v>
      </c>
      <c r="G38" s="35"/>
      <c r="H38" s="35"/>
      <c r="I38" s="71"/>
    </row>
    <row r="39" spans="1:9" ht="10.5" customHeight="1">
      <c r="A39" s="72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13.499083821836662</v>
      </c>
      <c r="C39" s="45" t="s">
        <v>65</v>
      </c>
      <c r="D39" s="40" t="s">
        <v>56</v>
      </c>
      <c r="E39" s="37">
        <f>SQRT(E37+E21*E38+H8*E21*B15*E19*E20+E21*B16*H7*H7)</f>
        <v>220.60629664452685</v>
      </c>
      <c r="F39" s="35" t="s">
        <v>13</v>
      </c>
      <c r="G39" s="46"/>
      <c r="H39" s="35"/>
      <c r="I39" s="71"/>
    </row>
    <row r="40" spans="1:9" ht="10.5" customHeight="1">
      <c r="A40" s="72" t="s">
        <v>69</v>
      </c>
      <c r="B40" s="38">
        <f>B39/2/H4/E19</f>
        <v>0.7499491012131478</v>
      </c>
      <c r="C40" s="35"/>
      <c r="D40" s="47" t="s">
        <v>79</v>
      </c>
      <c r="E40" s="48">
        <f>E37/E39</f>
        <v>179.8005710740308</v>
      </c>
      <c r="F40" s="35"/>
      <c r="G40" s="35"/>
      <c r="H40" s="35"/>
      <c r="I40" s="71"/>
    </row>
    <row r="41" spans="1:9" ht="10.5" customHeight="1">
      <c r="A41" s="75" t="s">
        <v>31</v>
      </c>
      <c r="B41" s="49">
        <f>IF(B40&lt;1,ABS(1000*B30*E5/2/H4/E19*(TAN(RADIANS(B27))+SIN(RADIANS(B28))/COS(RADIANS(B27)))),ABS(1000*B30*E5/B39*(TAN(RADIANS(B27))+SIN(RADIANS(B28))/COS(RADIANS(B27)))))</f>
        <v>8602.036579088795</v>
      </c>
      <c r="C41" s="50"/>
      <c r="D41" s="35"/>
      <c r="E41" s="35"/>
      <c r="F41" s="35"/>
      <c r="G41" s="35"/>
      <c r="H41" s="35"/>
      <c r="I41" s="71"/>
    </row>
    <row r="42" spans="1:9" ht="10.5" customHeight="1">
      <c r="A42" s="75" t="s">
        <v>32</v>
      </c>
      <c r="B42" s="51">
        <f>E9/B41</f>
        <v>0.7753977722222783</v>
      </c>
      <c r="C42" s="50" t="s">
        <v>3</v>
      </c>
      <c r="D42" s="35"/>
      <c r="E42" s="35"/>
      <c r="F42" s="35"/>
      <c r="G42" s="35"/>
      <c r="H42" s="35"/>
      <c r="I42" s="71"/>
    </row>
    <row r="43" spans="1:9" ht="10.5" customHeight="1">
      <c r="A43" s="76"/>
      <c r="B43" s="77"/>
      <c r="C43" s="77"/>
      <c r="D43" s="77"/>
      <c r="E43" s="77"/>
      <c r="F43" s="77"/>
      <c r="G43" s="77"/>
      <c r="H43" s="77"/>
      <c r="I43" s="7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">
      <selection activeCell="A25" sqref="A25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8.421875" style="2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3200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10.078740157480315</v>
      </c>
      <c r="D6" s="5" t="s">
        <v>64</v>
      </c>
      <c r="E6" s="22">
        <v>1200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5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4100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31.028075591010303</v>
      </c>
      <c r="C12" s="32" t="s">
        <v>65</v>
      </c>
      <c r="D12" s="40" t="s">
        <v>77</v>
      </c>
      <c r="E12" s="55">
        <v>0</v>
      </c>
      <c r="F12" s="23" t="s">
        <v>1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2.44*$E$9/10000*B26*2</f>
        <v>20.16554330708661</v>
      </c>
      <c r="F14" s="32" t="s">
        <v>65</v>
      </c>
    </row>
    <row r="15" spans="1:6" ht="10.5" customHeight="1">
      <c r="A15" s="5" t="s">
        <v>82</v>
      </c>
      <c r="B15" s="9">
        <v>1800</v>
      </c>
      <c r="D15" s="5" t="s">
        <v>81</v>
      </c>
      <c r="E15" s="19">
        <f>2.44*$E$9/10000*B33*2</f>
        <v>13.285826387485388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6.7</v>
      </c>
      <c r="C19" s="1"/>
      <c r="D19" s="5" t="s">
        <v>33</v>
      </c>
      <c r="E19" s="10">
        <v>1</v>
      </c>
    </row>
    <row r="20" spans="1:5" ht="10.5" customHeight="1">
      <c r="A20" s="5" t="s">
        <v>27</v>
      </c>
      <c r="B20" s="21">
        <v>30000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49.609375</v>
      </c>
      <c r="C25" s="2" t="s">
        <v>1</v>
      </c>
    </row>
    <row r="26" spans="1:3" ht="10.5" customHeight="1">
      <c r="A26" s="5" t="s">
        <v>36</v>
      </c>
      <c r="B26" s="19">
        <f>E4/B25</f>
        <v>10.078740157480315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16.754792331850297</v>
      </c>
      <c r="C27" s="2" t="s">
        <v>2</v>
      </c>
    </row>
    <row r="28" spans="1:3" ht="10.5" customHeight="1">
      <c r="A28" s="5" t="s">
        <v>34</v>
      </c>
      <c r="B28" s="19">
        <f>B27-E8</f>
        <v>11.754792331850297</v>
      </c>
      <c r="C28" s="2" t="s">
        <v>2</v>
      </c>
    </row>
    <row r="29" spans="1:3" ht="10.5" customHeight="1">
      <c r="A29" s="5" t="s">
        <v>71</v>
      </c>
      <c r="B29" s="19">
        <f>B25/COS(RADIANS(B27))</f>
        <v>51.808800963628606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0.9780586721286907</v>
      </c>
    </row>
    <row r="31" spans="1:3" ht="10.5" customHeight="1">
      <c r="A31" s="5" t="s">
        <v>66</v>
      </c>
      <c r="B31" s="19">
        <f>E4/B30/B6</f>
        <v>50.722289381707476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75.29828938170748</v>
      </c>
      <c r="C32" s="2" t="s">
        <v>1</v>
      </c>
    </row>
    <row r="33" spans="1:2" ht="10.5" customHeight="1">
      <c r="A33" s="5" t="s">
        <v>68</v>
      </c>
      <c r="B33" s="16">
        <f>E5/B32</f>
        <v>6.640257090906331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0.5030047380600952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0.391611374425099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3899.4949762943493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4300.50502370565</v>
      </c>
      <c r="C37" s="2" t="s">
        <v>3</v>
      </c>
      <c r="D37" s="5" t="s">
        <v>57</v>
      </c>
      <c r="E37" s="19">
        <f>0.25*PI()*E34*E36*B4*B4*B35*E18*B15/100</f>
        <v>85498.42292536995</v>
      </c>
      <c r="F37" s="2" t="s">
        <v>12</v>
      </c>
    </row>
    <row r="38" spans="1:6" ht="10.5" customHeight="1">
      <c r="A38" s="5" t="s">
        <v>6</v>
      </c>
      <c r="B38" s="15">
        <f>0.0001*E5*E9/(E4/B30/B6)</f>
        <v>4.041615678213676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45.59391636649483</v>
      </c>
      <c r="C39" s="32" t="s">
        <v>65</v>
      </c>
      <c r="D39" s="5" t="s">
        <v>56</v>
      </c>
      <c r="E39" s="19">
        <f>SQRT(E37+E21*E38+H8*E21*B15*E19*E20+E21*B16*H7*H7)</f>
        <v>294.2421161651913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0.9498732576353089</v>
      </c>
      <c r="D40" s="13" t="s">
        <v>60</v>
      </c>
      <c r="E40" s="26">
        <f>E37/E39</f>
        <v>290.57166947973565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5234.7815561013285</v>
      </c>
      <c r="C41" s="12"/>
    </row>
    <row r="42" spans="1:3" ht="10.5" customHeight="1">
      <c r="A42" s="11" t="s">
        <v>32</v>
      </c>
      <c r="B42" s="17">
        <f>E9/B41</f>
        <v>0.783222748850198</v>
      </c>
      <c r="C42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">
      <selection activeCell="E6" sqref="E6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3500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11.023622047244094</v>
      </c>
      <c r="D6" s="5" t="s">
        <v>64</v>
      </c>
      <c r="E6" s="22">
        <v>300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30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6565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33.936957677667515</v>
      </c>
      <c r="C12" s="32" t="s">
        <v>65</v>
      </c>
      <c r="D12" s="40" t="s">
        <v>77</v>
      </c>
      <c r="E12" s="55">
        <v>0</v>
      </c>
      <c r="F12" s="32" t="s">
        <v>65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</f>
        <v>17.658299212598425</v>
      </c>
      <c r="F14" s="32" t="s">
        <v>65</v>
      </c>
    </row>
    <row r="15" spans="1:6" ht="10.5" customHeight="1">
      <c r="A15" s="5" t="s">
        <v>82</v>
      </c>
      <c r="B15" s="9">
        <v>20</v>
      </c>
      <c r="D15" s="5" t="s">
        <v>81</v>
      </c>
      <c r="E15" s="19">
        <f>2.44*$E$9/10000*B33</f>
        <v>11.048147075216383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2.4</v>
      </c>
      <c r="C19" s="66" t="s">
        <v>84</v>
      </c>
      <c r="D19" s="5" t="s">
        <v>33</v>
      </c>
      <c r="E19" s="10">
        <v>1</v>
      </c>
    </row>
    <row r="20" spans="1:5" ht="10.5" customHeight="1">
      <c r="A20" s="5" t="s">
        <v>27</v>
      </c>
      <c r="B20" s="21">
        <v>12000</v>
      </c>
      <c r="C20" s="35" t="s">
        <v>74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C21" s="2" t="s">
        <v>85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45.357142857142854</v>
      </c>
      <c r="C25" s="2" t="s">
        <v>1</v>
      </c>
    </row>
    <row r="26" spans="1:3" ht="10.5" customHeight="1">
      <c r="A26" s="5" t="s">
        <v>36</v>
      </c>
      <c r="B26" s="19">
        <f>E4/B25</f>
        <v>11.023622047244094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20.851403383395734</v>
      </c>
      <c r="C27" s="2" t="s">
        <v>2</v>
      </c>
    </row>
    <row r="28" spans="1:3" ht="10.5" customHeight="1">
      <c r="A28" s="5" t="s">
        <v>34</v>
      </c>
      <c r="B28" s="19">
        <f>B27-E8</f>
        <v>-9.148596616604266</v>
      </c>
      <c r="C28" s="2" t="s">
        <v>2</v>
      </c>
    </row>
    <row r="29" spans="1:3" ht="10.5" customHeight="1">
      <c r="A29" s="5" t="s">
        <v>71</v>
      </c>
      <c r="B29" s="81">
        <f>B25/COS(RADIANS(B27))</f>
        <v>48.535919777680505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0.9465474530854893</v>
      </c>
    </row>
    <row r="31" spans="1:3" ht="10.5" customHeight="1">
      <c r="A31" s="5" t="s">
        <v>66</v>
      </c>
      <c r="B31" s="19">
        <f>E4/B30/B6</f>
        <v>47.918509219258695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72.4945092192587</v>
      </c>
      <c r="C32" s="2" t="s">
        <v>1</v>
      </c>
    </row>
    <row r="33" spans="1:2" ht="10.5" customHeight="1">
      <c r="A33" s="5" t="s">
        <v>68</v>
      </c>
      <c r="B33" s="16">
        <f>E5/B32</f>
        <v>6.897074073399911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66.83547049518445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1.5796468904267233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5756.220792101518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7373.779207898482</v>
      </c>
      <c r="C37" s="2" t="s">
        <v>3</v>
      </c>
      <c r="D37" s="5" t="s">
        <v>57</v>
      </c>
      <c r="E37" s="19">
        <f>0.25*PI()*E34*E36*B4*B4*B35*E18*B15/100</f>
        <v>509161.13706081675</v>
      </c>
      <c r="F37" s="2" t="s">
        <v>12</v>
      </c>
    </row>
    <row r="38" spans="1:6" ht="10.5" customHeight="1">
      <c r="A38" s="5" t="s">
        <v>6</v>
      </c>
      <c r="B38" s="15">
        <f>0.0001*E5*E9/(E4/B30/B6)</f>
        <v>6.850171371109238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45.34579919620942</v>
      </c>
      <c r="C39" s="32" t="s">
        <v>65</v>
      </c>
      <c r="D39" s="5" t="s">
        <v>56</v>
      </c>
      <c r="E39" s="19">
        <f>SQRT(E37+E21*E38+H8*E21*B15*E19*E20+E21*B16*H7*H7)</f>
        <v>714.1870462706648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0.9447041499210296</v>
      </c>
      <c r="D40" s="13" t="s">
        <v>60</v>
      </c>
      <c r="E40" s="26">
        <f>E37/E39</f>
        <v>712.9240718094084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2077.99605082201</v>
      </c>
      <c r="C41" s="12"/>
    </row>
    <row r="42" spans="1:3" ht="10.5" customHeight="1">
      <c r="A42" s="11" t="s">
        <v>32</v>
      </c>
      <c r="B42" s="17">
        <f>E9/B41</f>
        <v>3.159293780853447</v>
      </c>
      <c r="C42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119.57421875" style="0" bestFit="1" customWidth="1"/>
  </cols>
  <sheetData>
    <row r="1" ht="14.25">
      <c r="A1" s="85" t="s">
        <v>86</v>
      </c>
    </row>
    <row r="2" ht="15">
      <c r="A2" s="84"/>
    </row>
    <row r="3" ht="15">
      <c r="A3" s="84" t="s">
        <v>87</v>
      </c>
    </row>
    <row r="4" ht="15">
      <c r="A4" s="84" t="s">
        <v>88</v>
      </c>
    </row>
    <row r="5" ht="15">
      <c r="A5" s="84"/>
    </row>
    <row r="6" ht="15">
      <c r="A6" s="84" t="s">
        <v>89</v>
      </c>
    </row>
    <row r="7" ht="15">
      <c r="A7" s="84" t="s">
        <v>90</v>
      </c>
    </row>
    <row r="8" ht="15">
      <c r="A8" s="84"/>
    </row>
    <row r="9" ht="15">
      <c r="A9" s="84" t="s">
        <v>143</v>
      </c>
    </row>
    <row r="10" ht="15">
      <c r="A10" s="84"/>
    </row>
    <row r="11" ht="15">
      <c r="A11" s="84"/>
    </row>
    <row r="12" ht="15">
      <c r="A12" s="86">
        <v>39455</v>
      </c>
    </row>
    <row r="13" ht="15">
      <c r="A13" s="84"/>
    </row>
    <row r="14" ht="15">
      <c r="A14" s="84" t="s">
        <v>146</v>
      </c>
    </row>
    <row r="15" ht="15">
      <c r="A15" s="84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44" sqref="F44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10.00390625" style="2" bestFit="1" customWidth="1"/>
    <col min="6" max="6" width="6.57421875" style="2" customWidth="1"/>
    <col min="7" max="7" width="22.7109375" style="2" bestFit="1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91</v>
      </c>
      <c r="D1" s="3"/>
    </row>
    <row r="2" spans="1:4" ht="10.5" customHeight="1">
      <c r="A2" s="1" t="s">
        <v>92</v>
      </c>
      <c r="D2" s="3"/>
    </row>
    <row r="4" spans="1:7" ht="10.5" customHeight="1">
      <c r="A4" s="4" t="s">
        <v>93</v>
      </c>
      <c r="D4" s="25" t="s">
        <v>118</v>
      </c>
      <c r="G4" s="4" t="s">
        <v>132</v>
      </c>
    </row>
    <row r="5" spans="1:9" ht="10.5" customHeight="1">
      <c r="A5" s="5" t="s">
        <v>94</v>
      </c>
      <c r="B5" s="6">
        <v>354</v>
      </c>
      <c r="C5" s="2" t="s">
        <v>1</v>
      </c>
      <c r="D5" s="5" t="s">
        <v>119</v>
      </c>
      <c r="E5" s="22">
        <v>200</v>
      </c>
      <c r="F5" s="2" t="s">
        <v>1</v>
      </c>
      <c r="G5" s="5" t="s">
        <v>133</v>
      </c>
      <c r="H5" s="24">
        <v>9</v>
      </c>
      <c r="I5" s="2" t="s">
        <v>5</v>
      </c>
    </row>
    <row r="6" spans="1:8" ht="10.5" customHeight="1">
      <c r="A6" s="5" t="s">
        <v>95</v>
      </c>
      <c r="B6" s="6">
        <v>3910</v>
      </c>
      <c r="C6" s="2" t="s">
        <v>1</v>
      </c>
      <c r="D6" s="5" t="s">
        <v>120</v>
      </c>
      <c r="E6" s="22">
        <v>200</v>
      </c>
      <c r="F6" s="2" t="s">
        <v>1</v>
      </c>
      <c r="G6" s="5" t="s">
        <v>134</v>
      </c>
      <c r="H6" s="24">
        <v>1536</v>
      </c>
    </row>
    <row r="7" spans="1:9" ht="10.5" customHeight="1">
      <c r="A7" s="5" t="s">
        <v>8</v>
      </c>
      <c r="B7" s="7">
        <f>B6/B5</f>
        <v>11.045197740112995</v>
      </c>
      <c r="D7" s="5" t="s">
        <v>121</v>
      </c>
      <c r="E7" s="22">
        <v>2400</v>
      </c>
      <c r="G7" s="5" t="s">
        <v>43</v>
      </c>
      <c r="H7" s="24">
        <v>70</v>
      </c>
      <c r="I7" s="2" t="s">
        <v>11</v>
      </c>
    </row>
    <row r="8" spans="1:9" ht="10.5" customHeight="1">
      <c r="A8" s="5" t="s">
        <v>96</v>
      </c>
      <c r="B8" s="29">
        <v>0.15</v>
      </c>
      <c r="D8" s="5" t="s">
        <v>122</v>
      </c>
      <c r="E8" s="22">
        <v>1</v>
      </c>
      <c r="G8" s="5" t="s">
        <v>135</v>
      </c>
      <c r="H8" s="24">
        <v>16</v>
      </c>
      <c r="I8" s="2" t="s">
        <v>12</v>
      </c>
    </row>
    <row r="9" spans="1:9" ht="10.5" customHeight="1">
      <c r="A9" s="5" t="s">
        <v>97</v>
      </c>
      <c r="B9" s="29">
        <v>0.92</v>
      </c>
      <c r="D9" s="5" t="s">
        <v>123</v>
      </c>
      <c r="E9" s="22">
        <v>0</v>
      </c>
      <c r="F9" s="2" t="s">
        <v>2</v>
      </c>
      <c r="G9" s="5" t="s">
        <v>136</v>
      </c>
      <c r="H9" s="24">
        <v>0.1</v>
      </c>
      <c r="I9" s="2" t="s">
        <v>17</v>
      </c>
    </row>
    <row r="10" spans="1:7" ht="10.5" customHeight="1">
      <c r="A10" s="5"/>
      <c r="D10" s="5" t="s">
        <v>124</v>
      </c>
      <c r="E10" s="22">
        <v>6563</v>
      </c>
      <c r="F10" s="2" t="s">
        <v>3</v>
      </c>
      <c r="G10" s="5"/>
    </row>
    <row r="11" spans="1:7" ht="10.5" customHeight="1">
      <c r="A11" s="8" t="s">
        <v>98</v>
      </c>
      <c r="D11" s="40" t="s">
        <v>125</v>
      </c>
      <c r="E11" s="22">
        <v>45</v>
      </c>
      <c r="F11" s="2" t="s">
        <v>1</v>
      </c>
      <c r="G11" s="5"/>
    </row>
    <row r="12" spans="1:5" ht="10.5" customHeight="1">
      <c r="A12" s="5" t="s">
        <v>18</v>
      </c>
      <c r="B12" s="9">
        <v>2</v>
      </c>
      <c r="C12" s="2" t="s">
        <v>4</v>
      </c>
      <c r="D12" s="5" t="s">
        <v>126</v>
      </c>
      <c r="E12" s="30">
        <v>0.087</v>
      </c>
    </row>
    <row r="13" spans="1:6" ht="10.5" customHeight="1">
      <c r="A13" s="5" t="s">
        <v>99</v>
      </c>
      <c r="B13" s="19">
        <f>B12/3600/180*PI()*B6*1000</f>
        <v>37.91242986276571</v>
      </c>
      <c r="C13" s="32" t="s">
        <v>65</v>
      </c>
      <c r="D13" s="40" t="s">
        <v>127</v>
      </c>
      <c r="E13" s="55">
        <v>40</v>
      </c>
      <c r="F13" s="32" t="s">
        <v>65</v>
      </c>
    </row>
    <row r="14" spans="1:7" ht="10.5" customHeight="1">
      <c r="A14" s="5" t="s">
        <v>100</v>
      </c>
      <c r="B14" s="28">
        <v>0.8</v>
      </c>
      <c r="D14" s="5"/>
      <c r="G14" s="5"/>
    </row>
    <row r="15" spans="1:6" ht="10.5" customHeight="1">
      <c r="A15" s="5" t="s">
        <v>101</v>
      </c>
      <c r="B15" s="9">
        <v>18</v>
      </c>
      <c r="D15" s="5" t="s">
        <v>129</v>
      </c>
      <c r="E15" s="19">
        <f>2.44*$E$10/10000*B27</f>
        <v>17.687470395480226</v>
      </c>
      <c r="F15" s="32" t="s">
        <v>65</v>
      </c>
    </row>
    <row r="16" spans="1:6" ht="10.5" customHeight="1">
      <c r="A16" s="5" t="s">
        <v>102</v>
      </c>
      <c r="B16" s="9">
        <v>60</v>
      </c>
      <c r="D16" s="5" t="s">
        <v>128</v>
      </c>
      <c r="E16" s="19">
        <f>2.44*$E$10/10000*B34</f>
        <v>15.094597234693849</v>
      </c>
      <c r="F16" s="32" t="s">
        <v>65</v>
      </c>
    </row>
    <row r="17" spans="1:5" ht="10.5" customHeight="1">
      <c r="A17" s="5" t="s">
        <v>103</v>
      </c>
      <c r="B17" s="9">
        <v>1</v>
      </c>
      <c r="D17" s="5"/>
      <c r="E17" s="7"/>
    </row>
    <row r="18" spans="4:5" ht="10.5" customHeight="1">
      <c r="D18" s="8" t="s">
        <v>72</v>
      </c>
      <c r="E18" s="7"/>
    </row>
    <row r="19" spans="1:5" ht="10.5" customHeight="1">
      <c r="A19" s="4" t="s">
        <v>104</v>
      </c>
      <c r="C19" s="20"/>
      <c r="D19" s="5" t="s">
        <v>10</v>
      </c>
      <c r="E19" s="10">
        <v>1</v>
      </c>
    </row>
    <row r="20" spans="1:5" ht="10.5" customHeight="1">
      <c r="A20" s="5" t="s">
        <v>16</v>
      </c>
      <c r="B20" s="21">
        <v>0</v>
      </c>
      <c r="C20" s="66" t="s">
        <v>84</v>
      </c>
      <c r="D20" s="5" t="s">
        <v>130</v>
      </c>
      <c r="E20" s="10">
        <v>1</v>
      </c>
    </row>
    <row r="21" spans="1:5" ht="10.5" customHeight="1">
      <c r="A21" s="5" t="s">
        <v>105</v>
      </c>
      <c r="B21" s="21">
        <v>9500</v>
      </c>
      <c r="C21" s="35" t="s">
        <v>74</v>
      </c>
      <c r="D21" s="5" t="s">
        <v>131</v>
      </c>
      <c r="E21" s="10">
        <v>1</v>
      </c>
    </row>
    <row r="22" spans="1:5" ht="10.5" customHeight="1">
      <c r="A22" s="5" t="s">
        <v>106</v>
      </c>
      <c r="B22" s="21">
        <v>0</v>
      </c>
      <c r="C22" s="2" t="s">
        <v>85</v>
      </c>
      <c r="D22" s="5" t="s">
        <v>15</v>
      </c>
      <c r="E22" s="10">
        <v>1</v>
      </c>
    </row>
    <row r="23" spans="4:5" ht="10.5" customHeight="1">
      <c r="D23" s="5"/>
      <c r="E23" s="7"/>
    </row>
    <row r="25" spans="1:4" ht="10.5" customHeight="1">
      <c r="A25" s="8" t="s">
        <v>107</v>
      </c>
      <c r="D25" s="31"/>
    </row>
    <row r="26" spans="1:3" ht="10.5" customHeight="1">
      <c r="A26" s="5" t="s">
        <v>108</v>
      </c>
      <c r="B26" s="2">
        <f>B5*E5/B6</f>
        <v>18.107416879795398</v>
      </c>
      <c r="C26" s="2" t="s">
        <v>1</v>
      </c>
    </row>
    <row r="27" spans="1:4" ht="10.5" customHeight="1">
      <c r="A27" s="5" t="s">
        <v>109</v>
      </c>
      <c r="B27" s="2">
        <f>E5/B26</f>
        <v>11.045197740112993</v>
      </c>
      <c r="C27" s="2" t="s">
        <v>2</v>
      </c>
      <c r="D27" s="19"/>
    </row>
    <row r="28" spans="1:3" ht="10.5" customHeight="1">
      <c r="A28" s="5" t="s">
        <v>110</v>
      </c>
      <c r="B28" s="15">
        <f>DEGREES(ASIN(0.0000001*E8*E7*E10/2/COS(RADIANS(E9/2))))+E9/2</f>
        <v>51.95807080191752</v>
      </c>
      <c r="C28" s="2" t="s">
        <v>2</v>
      </c>
    </row>
    <row r="29" spans="1:7" ht="10.5" customHeight="1">
      <c r="A29" s="5" t="s">
        <v>111</v>
      </c>
      <c r="B29" s="19">
        <f>B28-E9</f>
        <v>51.95807080191752</v>
      </c>
      <c r="C29" s="2" t="s">
        <v>2</v>
      </c>
      <c r="G29" s="2">
        <f>5*3600</f>
        <v>18000</v>
      </c>
    </row>
    <row r="30" spans="1:3" ht="10.5" customHeight="1">
      <c r="A30" s="5" t="s">
        <v>112</v>
      </c>
      <c r="B30" s="26">
        <f>B26/COS(RADIANS(B28))</f>
        <v>29.38380545420107</v>
      </c>
      <c r="C30" s="2" t="s">
        <v>1</v>
      </c>
    </row>
    <row r="31" spans="1:2" ht="10.5" customHeight="1">
      <c r="A31" s="5" t="s">
        <v>113</v>
      </c>
      <c r="B31" s="15">
        <f>COS(RADIANS(B28))/COS(RADIANS(B29))</f>
        <v>1</v>
      </c>
    </row>
    <row r="32" spans="1:3" ht="10.5" customHeight="1">
      <c r="A32" s="5" t="s">
        <v>114</v>
      </c>
      <c r="B32" s="19">
        <f>E5/B31/B7</f>
        <v>18.107416879795394</v>
      </c>
      <c r="C32" s="2" t="s">
        <v>1</v>
      </c>
    </row>
    <row r="33" spans="1:3" ht="10.5" customHeight="1">
      <c r="A33" s="5" t="s">
        <v>115</v>
      </c>
      <c r="B33" s="19">
        <f>E5/B31/B7+E11*H5*H6/E6/1000</f>
        <v>21.217816879795393</v>
      </c>
      <c r="C33" s="2" t="s">
        <v>1</v>
      </c>
    </row>
    <row r="34" spans="1:2" ht="10.5" customHeight="1">
      <c r="A34" s="5" t="s">
        <v>116</v>
      </c>
      <c r="B34" s="16">
        <f>E6/B33</f>
        <v>9.426040442004636</v>
      </c>
    </row>
    <row r="35" spans="1:6" ht="10.5" customHeight="1">
      <c r="A35" s="5"/>
      <c r="B35" s="15"/>
      <c r="D35" s="5" t="s">
        <v>137</v>
      </c>
      <c r="E35" s="14">
        <f>8.48E+34*POWER(10,-0.4*(B20+B22))/POWER(B21,4)/POWER(E10,4)/(EXP(144000000/B21/E10)-1)</f>
        <v>618.6803464728753</v>
      </c>
      <c r="F35" s="2" t="s">
        <v>9</v>
      </c>
    </row>
    <row r="36" spans="1:6" ht="10.5" customHeight="1">
      <c r="A36" s="5" t="s">
        <v>19</v>
      </c>
      <c r="B36" s="34">
        <f>ABS(10000*H5*E20*COS(RADIANS(B29))/E8/E7/E6)</f>
        <v>0.11554462100742727</v>
      </c>
      <c r="C36" s="2" t="s">
        <v>0</v>
      </c>
      <c r="D36" s="5" t="s">
        <v>138</v>
      </c>
      <c r="E36" s="14">
        <f>100*POWER(10,-0.4*B15)</f>
        <v>6.309573444801918E-06</v>
      </c>
      <c r="F36" s="2" t="s">
        <v>14</v>
      </c>
    </row>
    <row r="37" spans="1:5" ht="10.5" customHeight="1">
      <c r="A37" s="5" t="s">
        <v>20</v>
      </c>
      <c r="B37" s="27">
        <f>E10-H6*B36/E20/2</f>
        <v>6474.261731066295</v>
      </c>
      <c r="C37" s="2" t="s">
        <v>3</v>
      </c>
      <c r="D37" s="5" t="s">
        <v>139</v>
      </c>
      <c r="E37" s="33">
        <f>(1-B8*B8)*B14*B9*E12*H7/100</f>
        <v>0.043813896000000005</v>
      </c>
    </row>
    <row r="38" spans="1:6" ht="10.5" customHeight="1">
      <c r="A38" s="5" t="s">
        <v>21</v>
      </c>
      <c r="B38" s="27">
        <f>E10+H6*B36/E20/2</f>
        <v>6651.738268933705</v>
      </c>
      <c r="C38" s="2" t="s">
        <v>3</v>
      </c>
      <c r="D38" s="5" t="s">
        <v>57</v>
      </c>
      <c r="E38" s="82">
        <f>0.25*PI()*E35*E37*B5*B5*B36*E19*B16/100</f>
        <v>184959.04796793003</v>
      </c>
      <c r="F38" s="2" t="s">
        <v>12</v>
      </c>
    </row>
    <row r="39" spans="1:6" ht="10.5" customHeight="1">
      <c r="A39" s="5" t="s">
        <v>6</v>
      </c>
      <c r="B39" s="15">
        <f>0.0001*E6*E10/(E5/B31/B7)</f>
        <v>7.248963276836158</v>
      </c>
      <c r="C39" s="32" t="s">
        <v>65</v>
      </c>
      <c r="D39" s="5" t="s">
        <v>140</v>
      </c>
      <c r="E39" s="19">
        <f>106300000*PI()*E36*E37*B36*E21*H5/1000*E13*B16*E5/E6/B7/B7</f>
        <v>1.8886500873652157</v>
      </c>
      <c r="F39" s="2" t="s">
        <v>12</v>
      </c>
    </row>
    <row r="40" spans="1:7" ht="10.5" customHeight="1">
      <c r="A40" s="5" t="s">
        <v>7</v>
      </c>
      <c r="B40" s="48">
        <f>1000*SQRT(POWER($B$31*$E$6/$E$5,2)*(IF(E13=0,POWER($B$12*PI()/648000,2)*$B$6*$B$6,POWER(MIN(B13,$E$13)/1000,2))+POWER($E$15/1000,2))+POWER($E$16/1000,2)+POWER($B$39/1000,2)+POWER($E$20*$H$5/1000,2))</f>
        <v>45.95207591999153</v>
      </c>
      <c r="C40" s="32" t="s">
        <v>65</v>
      </c>
      <c r="D40" s="5" t="s">
        <v>141</v>
      </c>
      <c r="E40" s="19">
        <f>SQRT(E38+E22*E39+H9*E22*B16*E20*E21+E22*B17*H8*H8)</f>
        <v>430.3753438778962</v>
      </c>
      <c r="F40" s="2" t="s">
        <v>13</v>
      </c>
      <c r="G40" s="15"/>
    </row>
    <row r="41" spans="1:5" ht="10.5" customHeight="1">
      <c r="A41" s="5" t="s">
        <v>145</v>
      </c>
      <c r="B41" s="15">
        <f>B40/2/H5/E20</f>
        <v>2.552893106666196</v>
      </c>
      <c r="D41" s="13" t="s">
        <v>142</v>
      </c>
      <c r="E41" s="26">
        <f>E38/E40</f>
        <v>429.7621845651214</v>
      </c>
    </row>
    <row r="42" spans="1:3" ht="10.5" customHeight="1">
      <c r="A42" s="11" t="s">
        <v>144</v>
      </c>
      <c r="B42" s="18">
        <f>IF(B41&lt;1,ABS(1000*B31*E6/2/H5/E20*(TAN(RADIANS(B28))+SIN(RADIANS(B29))/COS(RADIANS(B28)))),ABS(1000*B31*E6/B40*(TAN(RADIANS(B28))+SIN(RADIANS(B29))/COS(RADIANS(B28)))))</f>
        <v>11124.744503403012</v>
      </c>
      <c r="C42" s="12"/>
    </row>
    <row r="43" spans="1:3" ht="10.5" customHeight="1">
      <c r="A43" s="11" t="s">
        <v>117</v>
      </c>
      <c r="B43" s="17">
        <f>E10/B42</f>
        <v>0.5899461329644385</v>
      </c>
      <c r="C43" s="12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Eversberg, Thomas</cp:lastModifiedBy>
  <cp:lastPrinted>2004-05-18T09:28:50Z</cp:lastPrinted>
  <dcterms:created xsi:type="dcterms:W3CDTF">2003-03-05T12:36:55Z</dcterms:created>
  <dcterms:modified xsi:type="dcterms:W3CDTF">2013-06-25T10:24:10Z</dcterms:modified>
  <cp:category/>
  <cp:version/>
  <cp:contentType/>
  <cp:contentStatus/>
</cp:coreProperties>
</file>